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6380" windowHeight="8196" tabRatio="865"/>
  </bookViews>
  <sheets>
    <sheet name="2 x KGR" sheetId="1" r:id="rId1"/>
    <sheet name="Wykres Oszczędności 1" sheetId="3" r:id="rId2"/>
    <sheet name="Dane" sheetId="6" r:id="rId3"/>
  </sheets>
  <definedNames>
    <definedName name="_xlnm.Print_Area" localSheetId="1">'Wykres Oszczędności 1'!$B$2:$N$38</definedName>
  </definedNames>
  <calcPr calcId="125725"/>
</workbook>
</file>

<file path=xl/calcChain.xml><?xml version="1.0" encoding="utf-8"?>
<calcChain xmlns="http://schemas.openxmlformats.org/spreadsheetml/2006/main">
  <c r="O14" i="1"/>
  <c r="N14"/>
  <c r="C14" s="1"/>
  <c r="M14"/>
  <c r="C13" s="1"/>
  <c r="M15"/>
  <c r="D14" s="1"/>
  <c r="K4" i="6" s="1"/>
  <c r="D13" i="1"/>
  <c r="J4" i="6" s="1"/>
  <c r="D7" i="1"/>
  <c r="P4" i="6"/>
  <c r="G7"/>
  <c r="G5" s="1"/>
  <c r="H7"/>
  <c r="H5" s="1"/>
  <c r="G12"/>
  <c r="H12"/>
  <c r="H13" i="1" l="1"/>
  <c r="H15" s="1"/>
  <c r="J15" s="1"/>
  <c r="G10" i="6"/>
  <c r="J10" s="1"/>
  <c r="E13" i="1"/>
  <c r="N12" i="6" s="1"/>
  <c r="J13" i="1"/>
  <c r="I13" s="1"/>
  <c r="H14"/>
  <c r="J14" s="1"/>
  <c r="H9" i="6"/>
  <c r="H10"/>
  <c r="K10" s="1"/>
  <c r="H8"/>
  <c r="K8" s="1"/>
  <c r="G11"/>
  <c r="N11" s="1"/>
  <c r="H11"/>
  <c r="K11" s="1"/>
  <c r="H19"/>
  <c r="H13" s="1"/>
  <c r="K13" s="1"/>
  <c r="J7"/>
  <c r="G9"/>
  <c r="J9" s="1"/>
  <c r="E14" i="1"/>
  <c r="K12" i="6"/>
  <c r="K7"/>
  <c r="K9"/>
  <c r="J5"/>
  <c r="G6"/>
  <c r="K5"/>
  <c r="H6"/>
  <c r="G8"/>
  <c r="G19"/>
  <c r="J12"/>
  <c r="H16"/>
  <c r="H15"/>
  <c r="H18" l="1"/>
  <c r="K19"/>
  <c r="H14"/>
  <c r="J11"/>
  <c r="H17"/>
  <c r="K17" s="1"/>
  <c r="N5"/>
  <c r="N7"/>
  <c r="E16" i="1"/>
  <c r="N10" i="6"/>
  <c r="Q11"/>
  <c r="Q13"/>
  <c r="Q19"/>
  <c r="Q12"/>
  <c r="Q9"/>
  <c r="Q5"/>
  <c r="Q10"/>
  <c r="O8"/>
  <c r="J16" i="1"/>
  <c r="Q7" i="6"/>
  <c r="Q8"/>
  <c r="N9"/>
  <c r="O19"/>
  <c r="O10"/>
  <c r="P10" s="1"/>
  <c r="O11"/>
  <c r="P11" s="1"/>
  <c r="O13"/>
  <c r="O5"/>
  <c r="O7"/>
  <c r="O9"/>
  <c r="O12"/>
  <c r="P12" s="1"/>
  <c r="K6"/>
  <c r="Q6"/>
  <c r="O6"/>
  <c r="J6"/>
  <c r="N6"/>
  <c r="K15"/>
  <c r="Q15"/>
  <c r="O15"/>
  <c r="K16"/>
  <c r="O16"/>
  <c r="Q16"/>
  <c r="Q14"/>
  <c r="O14"/>
  <c r="K14"/>
  <c r="J8"/>
  <c r="N8"/>
  <c r="Q18"/>
  <c r="O18"/>
  <c r="K18"/>
  <c r="G15"/>
  <c r="J19"/>
  <c r="G13"/>
  <c r="G17"/>
  <c r="G14"/>
  <c r="G16"/>
  <c r="G18"/>
  <c r="N19"/>
  <c r="O17" l="1"/>
  <c r="Q17"/>
  <c r="C5"/>
  <c r="C17" s="1"/>
  <c r="P5"/>
  <c r="R5" s="1"/>
  <c r="S5" s="1"/>
  <c r="P7"/>
  <c r="R7" s="1"/>
  <c r="R10"/>
  <c r="P9"/>
  <c r="R9" s="1"/>
  <c r="R12"/>
  <c r="R11"/>
  <c r="P8"/>
  <c r="R8" s="1"/>
  <c r="C7"/>
  <c r="P19"/>
  <c r="R19" s="1"/>
  <c r="P6"/>
  <c r="R6" s="1"/>
  <c r="J16"/>
  <c r="N16"/>
  <c r="P16" s="1"/>
  <c r="R16" s="1"/>
  <c r="J14"/>
  <c r="N14"/>
  <c r="P14" s="1"/>
  <c r="R14" s="1"/>
  <c r="N13"/>
  <c r="P13" s="1"/>
  <c r="R13" s="1"/>
  <c r="J13"/>
  <c r="N15"/>
  <c r="P15" s="1"/>
  <c r="R15" s="1"/>
  <c r="J15"/>
  <c r="N18"/>
  <c r="P18" s="1"/>
  <c r="R18" s="1"/>
  <c r="J18"/>
  <c r="N17"/>
  <c r="P17" s="1"/>
  <c r="J17"/>
  <c r="R17" l="1"/>
  <c r="S6"/>
  <c r="S7" s="1"/>
  <c r="S8" s="1"/>
  <c r="S9" s="1"/>
  <c r="S10" s="1"/>
  <c r="S11" s="1"/>
  <c r="S12" s="1"/>
  <c r="S13" s="1"/>
  <c r="S14" s="1"/>
  <c r="S15" s="1"/>
  <c r="S16" s="1"/>
  <c r="S17" s="1"/>
  <c r="S18" s="1"/>
  <c r="S19" s="1"/>
  <c r="C16"/>
  <c r="C10"/>
  <c r="C15"/>
  <c r="C18"/>
  <c r="C11"/>
  <c r="C9"/>
  <c r="C13"/>
  <c r="C6"/>
  <c r="C19"/>
  <c r="C14"/>
  <c r="C8"/>
  <c r="C12"/>
</calcChain>
</file>

<file path=xl/sharedStrings.xml><?xml version="1.0" encoding="utf-8"?>
<sst xmlns="http://schemas.openxmlformats.org/spreadsheetml/2006/main" count="55" uniqueCount="41">
  <si>
    <t>Liczba godzin pracy układu:</t>
  </si>
  <si>
    <t>h/rok</t>
  </si>
  <si>
    <t>Układ tradycyjny</t>
  </si>
  <si>
    <t>Energia</t>
  </si>
  <si>
    <t>Cena jedn.</t>
  </si>
  <si>
    <t>Koszt</t>
  </si>
  <si>
    <t>kWh</t>
  </si>
  <si>
    <t>zł/kWh</t>
  </si>
  <si>
    <t>zł/h</t>
  </si>
  <si>
    <t xml:space="preserve"> Zakup energii elektrycznej</t>
  </si>
  <si>
    <t>Wytwarzanie energii elektrycznej</t>
  </si>
  <si>
    <t>Wytwarzanie ciepła</t>
  </si>
  <si>
    <t>energia elektryczna</t>
  </si>
  <si>
    <t>RAZEM:</t>
  </si>
  <si>
    <t>gaz</t>
  </si>
  <si>
    <t xml:space="preserve"> Serwis, naprawa, wymiana kotła</t>
  </si>
  <si>
    <t>wzrost cen</t>
  </si>
  <si>
    <t>wzrost cen – wartości</t>
  </si>
  <si>
    <t>prognoza</t>
  </si>
  <si>
    <t>rok</t>
  </si>
  <si>
    <t>GZ</t>
  </si>
  <si>
    <t>trad elektr</t>
  </si>
  <si>
    <t>trad gaz</t>
  </si>
  <si>
    <t>trad razem</t>
  </si>
  <si>
    <t>oszczędności</t>
  </si>
  <si>
    <t>narastająco</t>
  </si>
  <si>
    <t>Żółte certyfikaty</t>
  </si>
  <si>
    <t>Model</t>
  </si>
  <si>
    <t>Moc elektryczna, kW</t>
  </si>
  <si>
    <t>Moc cieplna, kW</t>
  </si>
  <si>
    <t>Zużycie gazu, kW</t>
  </si>
  <si>
    <t>Cena gaz, zł/m3</t>
  </si>
  <si>
    <t>Cena prąd zł/kWh</t>
  </si>
  <si>
    <t>Wartość opałowa, kWh/m3</t>
  </si>
  <si>
    <t>KGR 7,5 x 2 szt.</t>
  </si>
  <si>
    <t xml:space="preserve">Układ kogeneracji </t>
  </si>
  <si>
    <t xml:space="preserve"> Przegląd, serwis KGR</t>
  </si>
  <si>
    <t xml:space="preserve"> gaz</t>
  </si>
  <si>
    <t>Porównanie kosztów energii elektrycznej i cieplnej w układzie tradycyjnym i w układzie kogeneracji 2 modele KGR 7,5</t>
  </si>
  <si>
    <t>Przykładowe ceny z obiektu referencyjnego</t>
  </si>
  <si>
    <t>Oszczędności przy cenach z obiektu referencyjnego</t>
  </si>
</sst>
</file>

<file path=xl/styles.xml><?xml version="1.0" encoding="utf-8"?>
<styleSheet xmlns="http://schemas.openxmlformats.org/spreadsheetml/2006/main">
  <numFmts count="3">
    <numFmt numFmtId="164" formatCode="#,##0.00\ [$zł-415];[Red]\-#,##0.00\ [$zł-415]"/>
    <numFmt numFmtId="165" formatCode="0[$%]"/>
    <numFmt numFmtId="166" formatCode="0.0"/>
  </numFmts>
  <fonts count="5"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0"/>
      <color theme="1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00B0F0"/>
        <bgColor indexed="26"/>
      </patternFill>
    </fill>
    <fill>
      <patternFill patternType="solid">
        <fgColor theme="9" tint="0.39997558519241921"/>
        <bgColor indexed="41"/>
      </patternFill>
    </fill>
    <fill>
      <patternFill patternType="solid">
        <fgColor theme="9" tint="0.39997558519241921"/>
        <bgColor indexed="64"/>
      </patternFill>
    </fill>
  </fills>
  <borders count="38">
    <border>
      <left/>
      <right/>
      <top/>
      <bottom/>
      <diagonal/>
    </border>
    <border>
      <left/>
      <right/>
      <top/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thin">
        <color indexed="8"/>
      </top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/>
      <diagonal/>
    </border>
    <border>
      <left style="hair">
        <color indexed="8"/>
      </left>
      <right style="hair">
        <color indexed="8"/>
      </right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hair">
        <color indexed="8"/>
      </left>
      <right style="hair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hair">
        <color indexed="8"/>
      </right>
      <top style="thin">
        <color indexed="8"/>
      </top>
      <bottom/>
      <diagonal/>
    </border>
    <border>
      <left style="hair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hair">
        <color indexed="8"/>
      </left>
      <right style="thin">
        <color indexed="8"/>
      </right>
      <top style="hair">
        <color indexed="8"/>
      </top>
      <bottom/>
      <diagonal/>
    </border>
    <border>
      <left style="hair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hair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hair">
        <color indexed="8"/>
      </right>
      <top/>
      <bottom/>
      <diagonal/>
    </border>
    <border>
      <left style="hair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hair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0" fillId="0" borderId="1" xfId="0" applyBorder="1"/>
    <xf numFmtId="0" fontId="2" fillId="0" borderId="5" xfId="0" applyFont="1" applyBorder="1"/>
    <xf numFmtId="0" fontId="0" fillId="0" borderId="6" xfId="0" applyBorder="1"/>
    <xf numFmtId="0" fontId="2" fillId="0" borderId="0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wrapText="1"/>
    </xf>
    <xf numFmtId="0" fontId="0" fillId="0" borderId="8" xfId="0" applyFont="1" applyBorder="1" applyAlignment="1">
      <alignment horizontal="center" wrapText="1"/>
    </xf>
    <xf numFmtId="0" fontId="0" fillId="0" borderId="13" xfId="0" applyBorder="1"/>
    <xf numFmtId="0" fontId="0" fillId="0" borderId="0" xfId="0" applyBorder="1"/>
    <xf numFmtId="0" fontId="0" fillId="0" borderId="0" xfId="0" applyFont="1" applyAlignment="1">
      <alignment horizontal="center"/>
    </xf>
    <xf numFmtId="164" fontId="0" fillId="0" borderId="0" xfId="0" applyNumberFormat="1"/>
    <xf numFmtId="165" fontId="0" fillId="0" borderId="0" xfId="0" applyNumberFormat="1"/>
    <xf numFmtId="0" fontId="0" fillId="0" borderId="0" xfId="0" applyAlignment="1">
      <alignment wrapText="1"/>
    </xf>
    <xf numFmtId="2" fontId="0" fillId="0" borderId="0" xfId="0" applyNumberFormat="1"/>
    <xf numFmtId="164" fontId="0" fillId="0" borderId="0" xfId="0" applyNumberFormat="1" applyFill="1" applyBorder="1" applyAlignment="1">
      <alignment horizontal="right"/>
    </xf>
    <xf numFmtId="166" fontId="0" fillId="0" borderId="0" xfId="0" applyNumberFormat="1" applyFill="1" applyBorder="1" applyAlignment="1">
      <alignment horizontal="center"/>
    </xf>
    <xf numFmtId="164" fontId="0" fillId="0" borderId="19" xfId="0" applyNumberFormat="1" applyFill="1" applyBorder="1" applyAlignment="1">
      <alignment horizontal="right"/>
    </xf>
    <xf numFmtId="0" fontId="0" fillId="0" borderId="17" xfId="0" applyBorder="1"/>
    <xf numFmtId="164" fontId="0" fillId="0" borderId="17" xfId="0" applyNumberFormat="1" applyFill="1" applyBorder="1" applyAlignment="1">
      <alignment horizontal="right"/>
    </xf>
    <xf numFmtId="0" fontId="1" fillId="0" borderId="0" xfId="0" applyFont="1" applyBorder="1" applyAlignment="1">
      <alignment horizontal="center" vertical="center"/>
    </xf>
    <xf numFmtId="0" fontId="0" fillId="0" borderId="15" xfId="0" applyFont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2" fillId="2" borderId="2" xfId="0" applyFont="1" applyFill="1" applyBorder="1"/>
    <xf numFmtId="0" fontId="2" fillId="2" borderId="3" xfId="0" applyFont="1" applyFill="1" applyBorder="1"/>
    <xf numFmtId="0" fontId="2" fillId="2" borderId="16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/>
    </xf>
    <xf numFmtId="1" fontId="0" fillId="3" borderId="16" xfId="0" applyNumberFormat="1" applyFill="1" applyBorder="1" applyAlignment="1">
      <alignment horizontal="center"/>
    </xf>
    <xf numFmtId="164" fontId="0" fillId="3" borderId="11" xfId="0" applyNumberFormat="1" applyFill="1" applyBorder="1" applyAlignment="1">
      <alignment horizontal="right"/>
    </xf>
    <xf numFmtId="166" fontId="0" fillId="3" borderId="16" xfId="0" applyNumberFormat="1" applyFill="1" applyBorder="1" applyAlignment="1">
      <alignment horizontal="center"/>
    </xf>
    <xf numFmtId="1" fontId="0" fillId="3" borderId="10" xfId="0" applyNumberFormat="1" applyFill="1" applyBorder="1" applyAlignment="1">
      <alignment horizontal="center"/>
    </xf>
    <xf numFmtId="166" fontId="0" fillId="3" borderId="18" xfId="0" applyNumberFormat="1" applyFill="1" applyBorder="1" applyAlignment="1">
      <alignment horizontal="center"/>
    </xf>
    <xf numFmtId="166" fontId="0" fillId="3" borderId="17" xfId="0" applyNumberFormat="1" applyFill="1" applyBorder="1" applyAlignment="1">
      <alignment horizontal="center"/>
    </xf>
    <xf numFmtId="164" fontId="0" fillId="4" borderId="11" xfId="0" applyNumberFormat="1" applyFill="1" applyBorder="1" applyAlignment="1">
      <alignment horizontal="right"/>
    </xf>
    <xf numFmtId="0" fontId="2" fillId="2" borderId="21" xfId="0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0" fontId="0" fillId="0" borderId="18" xfId="0" applyBorder="1"/>
    <xf numFmtId="0" fontId="0" fillId="0" borderId="23" xfId="0" applyBorder="1"/>
    <xf numFmtId="0" fontId="0" fillId="0" borderId="24" xfId="0" applyBorder="1"/>
    <xf numFmtId="0" fontId="0" fillId="0" borderId="25" xfId="0" applyFont="1" applyBorder="1" applyAlignment="1">
      <alignment horizontal="center" wrapText="1"/>
    </xf>
    <xf numFmtId="0" fontId="0" fillId="0" borderId="26" xfId="0" applyFont="1" applyBorder="1" applyAlignment="1">
      <alignment horizontal="center" wrapText="1"/>
    </xf>
    <xf numFmtId="0" fontId="0" fillId="0" borderId="27" xfId="0" applyFont="1" applyBorder="1"/>
    <xf numFmtId="164" fontId="0" fillId="0" borderId="28" xfId="0" applyNumberFormat="1" applyBorder="1" applyAlignment="1">
      <alignment horizontal="right"/>
    </xf>
    <xf numFmtId="0" fontId="0" fillId="0" borderId="24" xfId="0" applyFont="1" applyBorder="1"/>
    <xf numFmtId="164" fontId="0" fillId="0" borderId="29" xfId="0" applyNumberFormat="1" applyBorder="1" applyAlignment="1">
      <alignment horizontal="right"/>
    </xf>
    <xf numFmtId="0" fontId="2" fillId="0" borderId="0" xfId="0" applyFont="1" applyBorder="1" applyAlignment="1">
      <alignment horizontal="right"/>
    </xf>
    <xf numFmtId="164" fontId="2" fillId="0" borderId="29" xfId="0" applyNumberFormat="1" applyFont="1" applyBorder="1" applyAlignment="1">
      <alignment horizontal="right"/>
    </xf>
    <xf numFmtId="0" fontId="0" fillId="0" borderId="30" xfId="0" applyBorder="1"/>
    <xf numFmtId="0" fontId="0" fillId="0" borderId="31" xfId="0" applyBorder="1" applyAlignment="1">
      <alignment horizontal="right"/>
    </xf>
    <xf numFmtId="0" fontId="0" fillId="0" borderId="10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164" fontId="2" fillId="3" borderId="32" xfId="0" applyNumberFormat="1" applyFont="1" applyFill="1" applyBorder="1" applyAlignment="1">
      <alignment horizontal="right"/>
    </xf>
    <xf numFmtId="0" fontId="0" fillId="0" borderId="10" xfId="0" applyFont="1" applyBorder="1"/>
    <xf numFmtId="164" fontId="0" fillId="0" borderId="23" xfId="0" applyNumberFormat="1" applyBorder="1" applyAlignment="1">
      <alignment horizontal="right"/>
    </xf>
    <xf numFmtId="0" fontId="0" fillId="0" borderId="18" xfId="0" applyFont="1" applyBorder="1"/>
    <xf numFmtId="0" fontId="0" fillId="0" borderId="27" xfId="0" applyBorder="1"/>
    <xf numFmtId="164" fontId="0" fillId="0" borderId="33" xfId="0" applyNumberFormat="1" applyBorder="1" applyAlignment="1">
      <alignment horizontal="right"/>
    </xf>
    <xf numFmtId="0" fontId="0" fillId="0" borderId="30" xfId="0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164" fontId="2" fillId="3" borderId="34" xfId="0" applyNumberFormat="1" applyFont="1" applyFill="1" applyBorder="1" applyAlignment="1">
      <alignment horizontal="right"/>
    </xf>
    <xf numFmtId="0" fontId="2" fillId="2" borderId="10" xfId="0" applyFont="1" applyFill="1" applyBorder="1" applyAlignment="1">
      <alignment horizontal="center" vertical="center"/>
    </xf>
    <xf numFmtId="0" fontId="2" fillId="2" borderId="28" xfId="0" applyFont="1" applyFill="1" applyBorder="1" applyAlignment="1">
      <alignment horizontal="center" vertical="center"/>
    </xf>
    <xf numFmtId="0" fontId="0" fillId="0" borderId="35" xfId="0" applyFont="1" applyBorder="1" applyAlignment="1">
      <alignment horizontal="center" vertical="center"/>
    </xf>
    <xf numFmtId="0" fontId="0" fillId="0" borderId="36" xfId="0" applyFont="1" applyBorder="1" applyAlignment="1">
      <alignment horizontal="center" vertical="center"/>
    </xf>
    <xf numFmtId="0" fontId="0" fillId="0" borderId="33" xfId="0" applyBorder="1"/>
    <xf numFmtId="0" fontId="0" fillId="0" borderId="29" xfId="0" applyBorder="1"/>
    <xf numFmtId="0" fontId="0" fillId="0" borderId="31" xfId="0" applyBorder="1"/>
    <xf numFmtId="0" fontId="2" fillId="2" borderId="37" xfId="0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32" xfId="0" applyFont="1" applyFill="1" applyBorder="1" applyAlignment="1">
      <alignment horizontal="center" vertical="center"/>
    </xf>
    <xf numFmtId="0" fontId="4" fillId="4" borderId="17" xfId="0" applyFont="1" applyFill="1" applyBorder="1"/>
  </cellXfs>
  <cellStyles count="1">
    <cellStyle name="Normalny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6E6E6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B3B3B3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D320"/>
      <rgbColor rgb="00FF9900"/>
      <rgbColor rgb="00FF420E"/>
      <rgbColor rgb="00666699"/>
      <rgbColor rgb="00969696"/>
      <rgbColor rgb="0000458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l-PL"/>
  <c:chart>
    <c:autoTitleDeleted val="1"/>
    <c:plotArea>
      <c:layout>
        <c:manualLayout>
          <c:layoutTarget val="inner"/>
          <c:xMode val="edge"/>
          <c:yMode val="edge"/>
          <c:x val="0.22222275806027697"/>
          <c:y val="7.552881232417788E-2"/>
          <c:w val="0.74321166862381605"/>
          <c:h val="0.80060541063628721"/>
        </c:manualLayout>
      </c:layout>
      <c:barChart>
        <c:barDir val="col"/>
        <c:grouping val="clustered"/>
        <c:ser>
          <c:idx val="0"/>
          <c:order val="0"/>
          <c:spPr>
            <a:solidFill>
              <a:srgbClr val="FFD320"/>
            </a:solidFill>
            <a:ln w="25400">
              <a:noFill/>
            </a:ln>
          </c:spPr>
          <c:dLbls>
            <c:numFmt formatCode="#,##0\ [$zł-415];[Red]\-#,##0\ [$zł-415]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l-PL"/>
              </a:p>
            </c:txPr>
            <c:showVal val="1"/>
          </c:dLbls>
          <c:cat>
            <c:numRef>
              <c:f>Dane!$B$5:$B$14</c:f>
              <c:numCache>
                <c:formatCode>General</c:formatCode>
                <c:ptCount val="10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</c:numCache>
            </c:numRef>
          </c:cat>
          <c:val>
            <c:numRef>
              <c:f>Dane!$C$5:$C$14</c:f>
              <c:numCache>
                <c:formatCode>#,##0.00\ [$zł-415];[Red]\-#,##0.00\ [$zł-415]</c:formatCode>
                <c:ptCount val="10"/>
                <c:pt idx="0">
                  <c:v>48123.03925233645</c:v>
                </c:pt>
                <c:pt idx="1">
                  <c:v>96246.0785046729</c:v>
                </c:pt>
                <c:pt idx="2">
                  <c:v>144369.11775700934</c:v>
                </c:pt>
                <c:pt idx="3">
                  <c:v>192492.1570093458</c:v>
                </c:pt>
                <c:pt idx="4">
                  <c:v>240615.19626168226</c:v>
                </c:pt>
                <c:pt idx="5">
                  <c:v>288738.23551401868</c:v>
                </c:pt>
                <c:pt idx="6">
                  <c:v>336861.27476635517</c:v>
                </c:pt>
                <c:pt idx="7">
                  <c:v>384984.3140186916</c:v>
                </c:pt>
                <c:pt idx="8">
                  <c:v>433107.35327102803</c:v>
                </c:pt>
                <c:pt idx="9">
                  <c:v>481230.39252336451</c:v>
                </c:pt>
              </c:numCache>
            </c:numRef>
          </c:val>
        </c:ser>
        <c:gapWidth val="100"/>
        <c:axId val="151592320"/>
        <c:axId val="151626880"/>
      </c:barChart>
      <c:catAx>
        <c:axId val="151592320"/>
        <c:scaling>
          <c:orientation val="minMax"/>
        </c:scaling>
        <c:axPos val="b"/>
        <c:majorGridlines>
          <c:spPr>
            <a:ln w="3175">
              <a:solidFill>
                <a:srgbClr val="B3B3B3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B3B3B3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l-PL"/>
          </a:p>
        </c:txPr>
        <c:crossAx val="151626880"/>
        <c:crossesAt val="0"/>
        <c:auto val="1"/>
        <c:lblAlgn val="ctr"/>
        <c:lblOffset val="100"/>
        <c:tickLblSkip val="1"/>
        <c:tickMarkSkip val="1"/>
      </c:catAx>
      <c:valAx>
        <c:axId val="151626880"/>
        <c:scaling>
          <c:orientation val="minMax"/>
        </c:scaling>
        <c:axPos val="l"/>
        <c:majorGridlines>
          <c:spPr>
            <a:ln w="3175">
              <a:solidFill>
                <a:srgbClr val="B3B3B3"/>
              </a:solidFill>
              <a:prstDash val="solid"/>
            </a:ln>
          </c:spPr>
        </c:majorGridlines>
        <c:numFmt formatCode="#,##0.00\ [$zł-415];[Red]\-#,##0.00\ [$zł-415]" sourceLinked="0"/>
        <c:tickLblPos val="nextTo"/>
        <c:spPr>
          <a:ln w="3175">
            <a:solidFill>
              <a:srgbClr val="B3B3B3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l-PL"/>
          </a:p>
        </c:txPr>
        <c:crossAx val="151592320"/>
        <c:crossesAt val="1"/>
        <c:crossBetween val="between"/>
      </c:valAx>
      <c:spPr>
        <a:noFill/>
        <a:ln w="3175">
          <a:solidFill>
            <a:srgbClr val="B3B3B3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l-PL"/>
    </a:p>
  </c:txPr>
  <c:printSettings>
    <c:headerFooter alignWithMargins="0"/>
    <c:pageMargins b="1" l="0.75000000000000078" r="0.75000000000000078" t="1" header="0.51180555555555562" footer="0.51180555555555562"/>
    <c:pageSetup firstPageNumber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l-PL"/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l-PL"/>
              <a:t>Oszczędności na etapie eksploatacji
(przy utrzymaniu cen energii elektrycznej i gazu na obecnym poziomie)
sub-title</a:t>
            </a:r>
          </a:p>
        </c:rich>
      </c:tx>
      <c:layout>
        <c:manualLayout>
          <c:xMode val="edge"/>
          <c:yMode val="edge"/>
          <c:x val="0.16049397600417706"/>
          <c:y val="2.7070084741743352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8.0721822250621758E-2"/>
          <c:y val="0.23248425719379587"/>
          <c:w val="0.90598374620109412"/>
          <c:h val="0.68152919232153863"/>
        </c:manualLayout>
      </c:layout>
      <c:barChart>
        <c:barDir val="col"/>
        <c:grouping val="clustered"/>
        <c:ser>
          <c:idx val="0"/>
          <c:order val="0"/>
          <c:spPr>
            <a:solidFill>
              <a:srgbClr val="FFD320"/>
            </a:solidFill>
            <a:ln w="25400">
              <a:noFill/>
            </a:ln>
          </c:spPr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l-PL"/>
              </a:p>
            </c:txPr>
            <c:dLblPos val="outEnd"/>
            <c:showVal val="1"/>
          </c:dLbls>
          <c:cat>
            <c:numRef>
              <c:f>Dane!$B$4:$B$12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cat>
          <c:val>
            <c:numRef>
              <c:f>Dane!$C$4:$C$12</c:f>
              <c:numCache>
                <c:formatCode>#,##0.00\ [$zł-415];[Red]\-#,##0.00\ [$zł-415]</c:formatCode>
                <c:ptCount val="9"/>
                <c:pt idx="0" formatCode="General">
                  <c:v>0</c:v>
                </c:pt>
                <c:pt idx="1">
                  <c:v>48123.03925233645</c:v>
                </c:pt>
                <c:pt idx="2">
                  <c:v>96246.0785046729</c:v>
                </c:pt>
                <c:pt idx="3">
                  <c:v>144369.11775700934</c:v>
                </c:pt>
                <c:pt idx="4">
                  <c:v>192492.1570093458</c:v>
                </c:pt>
                <c:pt idx="5">
                  <c:v>240615.19626168226</c:v>
                </c:pt>
                <c:pt idx="6">
                  <c:v>288738.23551401868</c:v>
                </c:pt>
                <c:pt idx="7">
                  <c:v>336861.27476635517</c:v>
                </c:pt>
                <c:pt idx="8">
                  <c:v>384984.3140186916</c:v>
                </c:pt>
              </c:numCache>
            </c:numRef>
          </c:val>
        </c:ser>
        <c:gapWidth val="100"/>
        <c:axId val="151495424"/>
        <c:axId val="151496960"/>
      </c:barChart>
      <c:catAx>
        <c:axId val="151495424"/>
        <c:scaling>
          <c:orientation val="minMax"/>
        </c:scaling>
        <c:axPos val="b"/>
        <c:majorGridlines>
          <c:spPr>
            <a:ln w="3175">
              <a:solidFill>
                <a:srgbClr val="B3B3B3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B3B3B3"/>
            </a:solidFill>
            <a:prstDash val="solid"/>
          </a:ln>
        </c:spPr>
        <c:txPr>
          <a:bodyPr rot="0" vert="horz"/>
          <a:lstStyle/>
          <a:p>
            <a:pPr>
              <a:defRPr sz="13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l-PL"/>
          </a:p>
        </c:txPr>
        <c:crossAx val="151496960"/>
        <c:crossesAt val="0"/>
        <c:auto val="1"/>
        <c:lblAlgn val="ctr"/>
        <c:lblOffset val="100"/>
        <c:tickLblSkip val="1"/>
        <c:tickMarkSkip val="1"/>
      </c:catAx>
      <c:valAx>
        <c:axId val="151496960"/>
        <c:scaling>
          <c:orientation val="minMax"/>
        </c:scaling>
        <c:axPos val="l"/>
        <c:majorGridlines>
          <c:spPr>
            <a:ln w="3175">
              <a:solidFill>
                <a:srgbClr val="B3B3B3"/>
              </a:solidFill>
              <a:prstDash val="solid"/>
            </a:ln>
          </c:spPr>
        </c:majorGridlines>
        <c:numFmt formatCode="General" sourceLinked="0"/>
        <c:tickLblPos val="nextTo"/>
        <c:spPr>
          <a:ln w="3175">
            <a:solidFill>
              <a:srgbClr val="B3B3B3"/>
            </a:solidFill>
            <a:prstDash val="solid"/>
          </a:ln>
        </c:spPr>
        <c:txPr>
          <a:bodyPr rot="0" vert="horz"/>
          <a:lstStyle/>
          <a:p>
            <a:pPr>
              <a:defRPr sz="13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l-PL"/>
          </a:p>
        </c:txPr>
        <c:crossAx val="151495424"/>
        <c:crossesAt val="1"/>
        <c:crossBetween val="between"/>
      </c:valAx>
      <c:spPr>
        <a:noFill/>
        <a:ln w="3175">
          <a:solidFill>
            <a:srgbClr val="B3B3B3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l-PL"/>
    </a:p>
  </c:txPr>
  <c:printSettings>
    <c:headerFooter alignWithMargins="0"/>
    <c:pageMargins b="1" l="0.75000000000000078" r="0.75000000000000078" t="1" header="0.51180555555555562" footer="0.51180555555555562"/>
    <c:pageSetup firstPageNumber="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20</xdr:row>
      <xdr:rowOff>38100</xdr:rowOff>
    </xdr:from>
    <xdr:to>
      <xdr:col>4</xdr:col>
      <xdr:colOff>695325</xdr:colOff>
      <xdr:row>37</xdr:row>
      <xdr:rowOff>123825</xdr:rowOff>
    </xdr:to>
    <xdr:graphicFrame macro="">
      <xdr:nvGraphicFramePr>
        <xdr:cNvPr id="1027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0</xdr:row>
      <xdr:rowOff>152400</xdr:rowOff>
    </xdr:from>
    <xdr:to>
      <xdr:col>14</xdr:col>
      <xdr:colOff>9525</xdr:colOff>
      <xdr:row>37</xdr:row>
      <xdr:rowOff>142875</xdr:rowOff>
    </xdr:to>
    <xdr:graphicFrame macro="">
      <xdr:nvGraphicFramePr>
        <xdr:cNvPr id="3073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E6E6E6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E6E6E6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5:O39"/>
  <sheetViews>
    <sheetView tabSelected="1" topLeftCell="A4" zoomScaleSheetLayoutView="100" workbookViewId="0">
      <selection activeCell="J28" sqref="J28"/>
    </sheetView>
  </sheetViews>
  <sheetFormatPr defaultColWidth="11.5546875" defaultRowHeight="14.1" customHeight="1"/>
  <cols>
    <col min="1" max="1" width="2.44140625" customWidth="1"/>
    <col min="2" max="2" width="28.5546875" customWidth="1"/>
    <col min="3" max="3" width="7.88671875" customWidth="1"/>
    <col min="4" max="4" width="11.33203125" customWidth="1"/>
    <col min="5" max="5" width="10.6640625" customWidth="1"/>
    <col min="6" max="6" width="2.5546875" customWidth="1"/>
    <col min="7" max="7" width="28.5546875" customWidth="1"/>
    <col min="8" max="8" width="7.88671875" customWidth="1"/>
    <col min="9" max="9" width="11.33203125" customWidth="1"/>
    <col min="10" max="10" width="11" customWidth="1"/>
    <col min="11" max="11" width="2.6640625" customWidth="1"/>
    <col min="12" max="12" width="24.44140625" customWidth="1"/>
    <col min="13" max="13" width="19" bestFit="1" customWidth="1"/>
    <col min="14" max="14" width="15" customWidth="1"/>
    <col min="15" max="15" width="16.109375" bestFit="1" customWidth="1"/>
  </cols>
  <sheetData>
    <row r="5" spans="1:15" ht="16.5" customHeight="1">
      <c r="B5" s="19" t="s">
        <v>38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</row>
    <row r="6" spans="1:15" ht="14.1" customHeight="1">
      <c r="B6" s="1"/>
      <c r="C6" s="1"/>
      <c r="D6" s="1"/>
      <c r="E6" s="1"/>
    </row>
    <row r="7" spans="1:15" ht="14.1" customHeight="1">
      <c r="B7" s="22" t="s">
        <v>0</v>
      </c>
      <c r="C7" s="23"/>
      <c r="D7" s="25">
        <f>20*365</f>
        <v>7300</v>
      </c>
      <c r="E7" s="2" t="s">
        <v>1</v>
      </c>
    </row>
    <row r="9" spans="1:15" ht="14.1" customHeight="1">
      <c r="B9" s="33" t="s">
        <v>2</v>
      </c>
      <c r="C9" s="21"/>
      <c r="D9" s="21"/>
      <c r="E9" s="34"/>
      <c r="G9" s="33" t="s">
        <v>35</v>
      </c>
      <c r="H9" s="21"/>
      <c r="I9" s="21"/>
      <c r="J9" s="34"/>
      <c r="L9" s="59" t="s">
        <v>39</v>
      </c>
      <c r="M9" s="24"/>
      <c r="N9" s="24"/>
      <c r="O9" s="60"/>
    </row>
    <row r="10" spans="1:15" ht="14.1" customHeight="1">
      <c r="B10" s="35"/>
      <c r="C10" s="3"/>
      <c r="D10" s="3"/>
      <c r="E10" s="36"/>
      <c r="G10" s="35"/>
      <c r="H10" s="3"/>
      <c r="I10" s="3"/>
      <c r="J10" s="36"/>
      <c r="L10" s="61"/>
      <c r="M10" s="20"/>
      <c r="N10" s="20"/>
      <c r="O10" s="62"/>
    </row>
    <row r="11" spans="1:15" ht="14.1" customHeight="1">
      <c r="A11" s="4"/>
      <c r="B11" s="37"/>
      <c r="C11" s="5" t="s">
        <v>3</v>
      </c>
      <c r="D11" s="5" t="s">
        <v>4</v>
      </c>
      <c r="E11" s="38" t="s">
        <v>5</v>
      </c>
      <c r="G11" s="37"/>
      <c r="H11" s="5" t="s">
        <v>3</v>
      </c>
      <c r="I11" s="5" t="s">
        <v>4</v>
      </c>
      <c r="J11" s="38" t="s">
        <v>5</v>
      </c>
      <c r="L11" s="61"/>
      <c r="M11" s="20"/>
      <c r="N11" s="20"/>
      <c r="O11" s="62"/>
    </row>
    <row r="12" spans="1:15" ht="14.1" customHeight="1">
      <c r="A12" s="4"/>
      <c r="B12" s="37"/>
      <c r="C12" s="6" t="s">
        <v>6</v>
      </c>
      <c r="D12" s="6" t="s">
        <v>7</v>
      </c>
      <c r="E12" s="39" t="s">
        <v>8</v>
      </c>
      <c r="G12" s="37"/>
      <c r="H12" s="6" t="s">
        <v>6</v>
      </c>
      <c r="I12" s="6" t="s">
        <v>7</v>
      </c>
      <c r="J12" s="39" t="s">
        <v>8</v>
      </c>
      <c r="L12" s="61"/>
      <c r="M12" s="20"/>
      <c r="N12" s="20"/>
      <c r="O12" s="62"/>
    </row>
    <row r="13" spans="1:15" ht="14.1" customHeight="1">
      <c r="A13" s="4"/>
      <c r="B13" s="40" t="s">
        <v>9</v>
      </c>
      <c r="C13" s="26">
        <f>M14</f>
        <v>15</v>
      </c>
      <c r="D13" s="27">
        <f>M16</f>
        <v>0.51</v>
      </c>
      <c r="E13" s="41">
        <f>C13*D13</f>
        <v>7.65</v>
      </c>
      <c r="G13" s="51" t="s">
        <v>10</v>
      </c>
      <c r="H13" s="29">
        <f>M14</f>
        <v>15</v>
      </c>
      <c r="I13" s="32">
        <f>J13/H13</f>
        <v>0.32200373831775697</v>
      </c>
      <c r="J13" s="52">
        <f>O14/M17*M15</f>
        <v>4.8300560747663548</v>
      </c>
      <c r="L13" s="54" t="s">
        <v>27</v>
      </c>
      <c r="M13" s="17" t="s">
        <v>28</v>
      </c>
      <c r="N13" s="17" t="s">
        <v>29</v>
      </c>
      <c r="O13" s="63" t="s">
        <v>30</v>
      </c>
    </row>
    <row r="14" spans="1:15" ht="14.1" customHeight="1">
      <c r="A14" s="4"/>
      <c r="B14" s="40" t="s">
        <v>11</v>
      </c>
      <c r="C14" s="28">
        <f>N14</f>
        <v>20</v>
      </c>
      <c r="D14" s="27">
        <f>M15/M17*1.1</f>
        <v>0.13693457943925233</v>
      </c>
      <c r="E14" s="41">
        <f>C14*D14</f>
        <v>2.7386915887850467</v>
      </c>
      <c r="G14" s="53" t="s">
        <v>11</v>
      </c>
      <c r="H14" s="30">
        <f>N14</f>
        <v>20</v>
      </c>
      <c r="I14" s="16">
        <v>0</v>
      </c>
      <c r="J14" s="52">
        <f>H14*I14</f>
        <v>0</v>
      </c>
      <c r="L14" s="54" t="s">
        <v>34</v>
      </c>
      <c r="M14" s="17">
        <f>7.5*2</f>
        <v>15</v>
      </c>
      <c r="N14" s="17">
        <f>10*2</f>
        <v>20</v>
      </c>
      <c r="O14" s="63">
        <f>19.4*2</f>
        <v>38.799999999999997</v>
      </c>
    </row>
    <row r="15" spans="1:15" ht="14.1" customHeight="1">
      <c r="A15" s="4"/>
      <c r="B15" s="42"/>
      <c r="C15" s="15"/>
      <c r="D15" s="14"/>
      <c r="E15" s="43"/>
      <c r="G15" s="54" t="s">
        <v>26</v>
      </c>
      <c r="H15" s="31">
        <f>H13</f>
        <v>15</v>
      </c>
      <c r="I15" s="18">
        <v>-0.11</v>
      </c>
      <c r="J15" s="55">
        <f>I15*H15</f>
        <v>-1.65</v>
      </c>
      <c r="L15" s="54" t="s">
        <v>31</v>
      </c>
      <c r="M15" s="69">
        <f>0.12*11.1</f>
        <v>1.3319999999999999</v>
      </c>
      <c r="N15" s="8"/>
      <c r="O15" s="64"/>
    </row>
    <row r="16" spans="1:15" ht="14.1" customHeight="1">
      <c r="A16" s="4"/>
      <c r="B16" s="37"/>
      <c r="C16" s="8"/>
      <c r="D16" s="44" t="s">
        <v>13</v>
      </c>
      <c r="E16" s="45">
        <f>SUM(E13:E14)</f>
        <v>10.388691588785047</v>
      </c>
      <c r="G16" s="37"/>
      <c r="H16" s="8"/>
      <c r="I16" s="44" t="s">
        <v>13</v>
      </c>
      <c r="J16" s="45">
        <f>SUM(J13:J15)</f>
        <v>3.1800560747663549</v>
      </c>
      <c r="L16" s="54" t="s">
        <v>32</v>
      </c>
      <c r="M16" s="69">
        <v>0.51</v>
      </c>
      <c r="N16" s="8"/>
      <c r="O16" s="64"/>
    </row>
    <row r="17" spans="1:15" ht="14.1" customHeight="1">
      <c r="A17" s="4"/>
      <c r="B17" s="46"/>
      <c r="C17" s="7"/>
      <c r="D17" s="7"/>
      <c r="E17" s="47"/>
      <c r="G17" s="46"/>
      <c r="H17" s="7"/>
      <c r="I17" s="7"/>
      <c r="J17" s="47"/>
      <c r="L17" s="54" t="s">
        <v>33</v>
      </c>
      <c r="M17" s="17">
        <v>10.7</v>
      </c>
      <c r="N17" s="8"/>
      <c r="O17" s="64"/>
    </row>
    <row r="18" spans="1:15" ht="14.1" customHeight="1">
      <c r="B18" s="48" t="s">
        <v>15</v>
      </c>
      <c r="C18" s="49"/>
      <c r="D18" s="49"/>
      <c r="E18" s="50">
        <v>500</v>
      </c>
      <c r="G18" s="56" t="s">
        <v>36</v>
      </c>
      <c r="H18" s="57"/>
      <c r="I18" s="57"/>
      <c r="J18" s="58">
        <v>5000</v>
      </c>
      <c r="L18" s="46"/>
      <c r="M18" s="7"/>
      <c r="N18" s="7"/>
      <c r="O18" s="65"/>
    </row>
    <row r="19" spans="1:15" ht="14.1" customHeight="1">
      <c r="L19" s="8"/>
      <c r="M19" s="8"/>
      <c r="N19" s="8"/>
      <c r="O19" s="8"/>
    </row>
    <row r="20" spans="1:15" ht="14.1" customHeight="1">
      <c r="B20" s="66" t="s">
        <v>40</v>
      </c>
      <c r="C20" s="67"/>
      <c r="D20" s="67"/>
      <c r="E20" s="68"/>
      <c r="F20" s="8"/>
      <c r="G20" s="8"/>
      <c r="H20" s="8"/>
      <c r="I20" s="8"/>
      <c r="J20" s="8"/>
      <c r="L20" s="8"/>
      <c r="M20" s="8"/>
      <c r="N20" s="8"/>
      <c r="O20" s="8"/>
    </row>
    <row r="21" spans="1:15" ht="14.1" customHeight="1">
      <c r="B21" s="37"/>
      <c r="C21" s="8"/>
      <c r="D21" s="8"/>
      <c r="E21" s="64"/>
      <c r="F21" s="8"/>
      <c r="G21" s="8"/>
      <c r="H21" s="8"/>
      <c r="I21" s="8"/>
      <c r="J21" s="8"/>
      <c r="L21" s="8"/>
      <c r="M21" s="8"/>
      <c r="N21" s="8"/>
      <c r="O21" s="8"/>
    </row>
    <row r="22" spans="1:15" ht="14.1" customHeight="1">
      <c r="B22" s="37"/>
      <c r="C22" s="8"/>
      <c r="D22" s="8"/>
      <c r="E22" s="64"/>
      <c r="F22" s="8"/>
      <c r="G22" s="8"/>
      <c r="H22" s="8"/>
      <c r="I22" s="8"/>
      <c r="J22" s="8"/>
      <c r="L22" s="8"/>
      <c r="M22" s="8"/>
      <c r="N22" s="8"/>
      <c r="O22" s="8"/>
    </row>
    <row r="23" spans="1:15" ht="14.1" customHeight="1">
      <c r="B23" s="37"/>
      <c r="C23" s="8"/>
      <c r="D23" s="8"/>
      <c r="E23" s="64"/>
      <c r="F23" s="8"/>
      <c r="G23" s="8"/>
      <c r="H23" s="8"/>
      <c r="I23" s="8"/>
      <c r="J23" s="8"/>
      <c r="L23" s="8"/>
      <c r="M23" s="8"/>
      <c r="N23" s="8"/>
      <c r="O23" s="8"/>
    </row>
    <row r="24" spans="1:15" ht="14.1" customHeight="1">
      <c r="B24" s="37"/>
      <c r="C24" s="8"/>
      <c r="D24" s="8"/>
      <c r="E24" s="64"/>
      <c r="F24" s="8"/>
      <c r="G24" s="8"/>
      <c r="H24" s="8"/>
      <c r="I24" s="8"/>
      <c r="J24" s="8"/>
      <c r="L24" s="8"/>
      <c r="M24" s="8"/>
      <c r="N24" s="8"/>
      <c r="O24" s="8"/>
    </row>
    <row r="25" spans="1:15" ht="14.1" customHeight="1">
      <c r="B25" s="37"/>
      <c r="C25" s="8"/>
      <c r="D25" s="8"/>
      <c r="E25" s="64"/>
      <c r="F25" s="8"/>
      <c r="G25" s="8"/>
      <c r="H25" s="8"/>
      <c r="I25" s="8"/>
      <c r="J25" s="8"/>
      <c r="L25" s="8"/>
      <c r="M25" s="8"/>
      <c r="N25" s="8"/>
      <c r="O25" s="8"/>
    </row>
    <row r="26" spans="1:15" ht="14.1" customHeight="1">
      <c r="B26" s="37"/>
      <c r="C26" s="8"/>
      <c r="D26" s="8"/>
      <c r="E26" s="64"/>
      <c r="F26" s="8"/>
      <c r="G26" s="8"/>
      <c r="H26" s="8"/>
      <c r="I26" s="8"/>
      <c r="J26" s="8"/>
      <c r="L26" s="8"/>
      <c r="M26" s="8"/>
      <c r="N26" s="8"/>
      <c r="O26" s="8"/>
    </row>
    <row r="27" spans="1:15" ht="14.1" customHeight="1">
      <c r="B27" s="37"/>
      <c r="C27" s="8"/>
      <c r="D27" s="8"/>
      <c r="E27" s="64"/>
      <c r="F27" s="8"/>
      <c r="G27" s="8"/>
      <c r="H27" s="8"/>
      <c r="I27" s="8"/>
      <c r="J27" s="8"/>
      <c r="L27" s="8"/>
      <c r="M27" s="8"/>
      <c r="N27" s="8"/>
      <c r="O27" s="8"/>
    </row>
    <row r="28" spans="1:15" ht="14.1" customHeight="1">
      <c r="B28" s="37"/>
      <c r="C28" s="8"/>
      <c r="D28" s="8"/>
      <c r="E28" s="64"/>
      <c r="F28" s="8"/>
      <c r="G28" s="8"/>
      <c r="H28" s="8"/>
      <c r="I28" s="8"/>
      <c r="J28" s="8"/>
      <c r="L28" s="8"/>
      <c r="M28" s="8"/>
      <c r="N28" s="8"/>
      <c r="O28" s="8"/>
    </row>
    <row r="29" spans="1:15" ht="14.1" customHeight="1">
      <c r="B29" s="37"/>
      <c r="C29" s="8"/>
      <c r="D29" s="8"/>
      <c r="E29" s="64"/>
      <c r="F29" s="8"/>
      <c r="G29" s="8"/>
      <c r="H29" s="8"/>
      <c r="I29" s="8"/>
      <c r="J29" s="8"/>
      <c r="L29" s="8"/>
      <c r="M29" s="8"/>
      <c r="N29" s="8"/>
      <c r="O29" s="8"/>
    </row>
    <row r="30" spans="1:15" ht="14.1" customHeight="1">
      <c r="B30" s="37"/>
      <c r="C30" s="8"/>
      <c r="D30" s="8"/>
      <c r="E30" s="64"/>
      <c r="F30" s="8"/>
      <c r="G30" s="8"/>
      <c r="H30" s="8"/>
      <c r="I30" s="8"/>
      <c r="J30" s="8"/>
      <c r="L30" s="8"/>
      <c r="M30" s="8"/>
      <c r="N30" s="8"/>
      <c r="O30" s="8"/>
    </row>
    <row r="31" spans="1:15" ht="14.1" customHeight="1">
      <c r="B31" s="37"/>
      <c r="C31" s="8"/>
      <c r="D31" s="8"/>
      <c r="E31" s="64"/>
      <c r="F31" s="8"/>
      <c r="G31" s="8"/>
      <c r="H31" s="8"/>
      <c r="I31" s="8"/>
      <c r="J31" s="8"/>
      <c r="L31" s="8"/>
      <c r="M31" s="8"/>
      <c r="N31" s="8"/>
      <c r="O31" s="8"/>
    </row>
    <row r="32" spans="1:15" ht="14.1" customHeight="1">
      <c r="B32" s="37"/>
      <c r="C32" s="8"/>
      <c r="D32" s="8"/>
      <c r="E32" s="64"/>
      <c r="F32" s="8"/>
      <c r="G32" s="8"/>
      <c r="H32" s="8"/>
      <c r="I32" s="8"/>
      <c r="J32" s="8"/>
    </row>
    <row r="33" spans="2:15" ht="14.1" customHeight="1">
      <c r="B33" s="37"/>
      <c r="C33" s="8"/>
      <c r="D33" s="8"/>
      <c r="E33" s="64"/>
      <c r="F33" s="8"/>
      <c r="G33" s="8"/>
      <c r="H33" s="8"/>
      <c r="I33" s="8"/>
      <c r="J33" s="8"/>
    </row>
    <row r="34" spans="2:15" ht="14.1" customHeight="1">
      <c r="B34" s="37"/>
      <c r="C34" s="8"/>
      <c r="D34" s="8"/>
      <c r="E34" s="64"/>
      <c r="F34" s="8"/>
      <c r="G34" s="8"/>
      <c r="H34" s="8"/>
      <c r="I34" s="8"/>
      <c r="J34" s="8"/>
    </row>
    <row r="35" spans="2:15" ht="14.1" customHeight="1">
      <c r="B35" s="37"/>
      <c r="C35" s="8"/>
      <c r="D35" s="8"/>
      <c r="E35" s="64"/>
      <c r="F35" s="8"/>
      <c r="G35" s="8"/>
      <c r="H35" s="8"/>
      <c r="I35" s="8"/>
      <c r="J35" s="8"/>
      <c r="K35" s="8"/>
      <c r="L35" s="8"/>
      <c r="M35" s="8"/>
    </row>
    <row r="36" spans="2:15" ht="14.1" customHeight="1">
      <c r="B36" s="37"/>
      <c r="C36" s="8"/>
      <c r="D36" s="8"/>
      <c r="E36" s="64"/>
      <c r="F36" s="8"/>
      <c r="G36" s="8"/>
      <c r="H36" s="8"/>
      <c r="I36" s="8"/>
      <c r="J36" s="8"/>
      <c r="M36" s="8"/>
    </row>
    <row r="37" spans="2:15" ht="25.5" customHeight="1">
      <c r="B37" s="37"/>
      <c r="C37" s="8"/>
      <c r="D37" s="8"/>
      <c r="E37" s="64"/>
      <c r="F37" s="8"/>
      <c r="G37" s="8"/>
      <c r="H37" s="8"/>
      <c r="I37" s="8"/>
      <c r="J37" s="8"/>
      <c r="L37" s="12"/>
      <c r="M37" s="8"/>
      <c r="O37" s="13"/>
    </row>
    <row r="38" spans="2:15" ht="14.1" customHeight="1">
      <c r="B38" s="37"/>
      <c r="C38" s="8"/>
      <c r="D38" s="8"/>
      <c r="E38" s="64"/>
      <c r="F38" s="8"/>
      <c r="G38" s="8"/>
      <c r="H38" s="8"/>
      <c r="I38" s="8"/>
      <c r="J38" s="8"/>
      <c r="M38" s="8"/>
    </row>
    <row r="39" spans="2:15" ht="14.1" customHeight="1">
      <c r="B39" s="3"/>
      <c r="C39" s="3"/>
      <c r="D39" s="3"/>
      <c r="E39" s="3"/>
    </row>
  </sheetData>
  <sheetProtection selectLockedCells="1" selectUnlockedCells="1"/>
  <mergeCells count="10">
    <mergeCell ref="B5:O5"/>
    <mergeCell ref="B9:E9"/>
    <mergeCell ref="G9:J9"/>
    <mergeCell ref="L9:O9"/>
    <mergeCell ref="B20:E20"/>
    <mergeCell ref="L10:O10"/>
    <mergeCell ref="L11:O11"/>
    <mergeCell ref="B18:D18"/>
    <mergeCell ref="G18:I18"/>
    <mergeCell ref="L12:O12"/>
  </mergeCells>
  <phoneticPr fontId="3" type="noConversion"/>
  <pageMargins left="0.19652777777777777" right="0.19652777777777777" top="0.39374999999999999" bottom="0.39374999999999999" header="0.51180555555555551" footer="0.51180555555555551"/>
  <pageSetup paperSize="9" scale="77" orientation="landscape" useFirstPageNumber="1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zoomScaleSheetLayoutView="100" workbookViewId="0">
      <selection activeCell="O31" sqref="O31"/>
    </sheetView>
  </sheetViews>
  <sheetFormatPr defaultColWidth="11.5546875" defaultRowHeight="12.75" customHeight="1"/>
  <sheetData/>
  <sheetProtection selectLockedCells="1" selectUnlockedCells="1"/>
  <phoneticPr fontId="3" type="noConversion"/>
  <pageMargins left="0.19652777777777777" right="0.19652777777777777" top="0.78749999999999998" bottom="0.78749999999999998" header="0.51180555555555551" footer="0.51180555555555551"/>
  <pageSetup paperSize="9" firstPageNumber="0" orientation="landscape" horizontalDpi="300" verticalDpi="300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2:S22"/>
  <sheetViews>
    <sheetView zoomScaleSheetLayoutView="100" workbookViewId="0">
      <selection activeCell="Q4" sqref="Q4"/>
    </sheetView>
  </sheetViews>
  <sheetFormatPr defaultColWidth="11.5546875" defaultRowHeight="14.1" customHeight="1"/>
  <cols>
    <col min="1" max="1" width="11.5546875" customWidth="1"/>
    <col min="2" max="2" width="8.5546875" customWidth="1"/>
    <col min="3" max="3" width="18.88671875" customWidth="1"/>
    <col min="4" max="4" width="2.44140625" customWidth="1"/>
    <col min="5" max="5" width="2.6640625" customWidth="1"/>
    <col min="6" max="6" width="11.5546875" customWidth="1"/>
    <col min="7" max="7" width="13" customWidth="1"/>
    <col min="8" max="8" width="11.5546875" customWidth="1"/>
    <col min="9" max="9" width="6.33203125" customWidth="1"/>
    <col min="10" max="10" width="10.109375" customWidth="1"/>
    <col min="11" max="11" width="9" customWidth="1"/>
    <col min="12" max="12" width="8.6640625" customWidth="1"/>
    <col min="13" max="13" width="6.33203125" customWidth="1"/>
    <col min="14" max="18" width="11.5546875" customWidth="1"/>
    <col min="19" max="19" width="14.33203125" customWidth="1"/>
  </cols>
  <sheetData>
    <row r="2" spans="1:19" ht="14.1" customHeight="1">
      <c r="F2" t="s">
        <v>16</v>
      </c>
      <c r="I2" t="s">
        <v>17</v>
      </c>
      <c r="N2" t="s">
        <v>18</v>
      </c>
    </row>
    <row r="3" spans="1:19" ht="14.1" customHeight="1">
      <c r="A3" s="9" t="s">
        <v>19</v>
      </c>
      <c r="B3" t="s">
        <v>19</v>
      </c>
      <c r="C3" s="9" t="s">
        <v>20</v>
      </c>
      <c r="D3" s="9"/>
      <c r="E3" s="9"/>
      <c r="F3" t="s">
        <v>19</v>
      </c>
      <c r="G3" t="s">
        <v>12</v>
      </c>
      <c r="H3" t="s">
        <v>14</v>
      </c>
      <c r="I3" t="s">
        <v>19</v>
      </c>
      <c r="J3" t="s">
        <v>12</v>
      </c>
      <c r="K3" t="s">
        <v>14</v>
      </c>
      <c r="M3" t="s">
        <v>19</v>
      </c>
      <c r="N3" t="s">
        <v>21</v>
      </c>
      <c r="O3" t="s">
        <v>22</v>
      </c>
      <c r="P3" t="s">
        <v>23</v>
      </c>
      <c r="Q3" t="s">
        <v>37</v>
      </c>
      <c r="R3" t="s">
        <v>24</v>
      </c>
      <c r="S3" t="s">
        <v>25</v>
      </c>
    </row>
    <row r="4" spans="1:19" ht="14.1" customHeight="1">
      <c r="A4">
        <v>0</v>
      </c>
      <c r="B4">
        <v>2016</v>
      </c>
      <c r="C4">
        <v>0</v>
      </c>
      <c r="F4">
        <v>2012</v>
      </c>
      <c r="G4">
        <v>0</v>
      </c>
      <c r="H4">
        <v>0</v>
      </c>
      <c r="I4">
        <v>2012</v>
      </c>
      <c r="J4" s="10">
        <f>'2 x KGR'!D13</f>
        <v>0.51</v>
      </c>
      <c r="K4" s="10">
        <f>'2 x KGR'!D14</f>
        <v>0.13693457943925233</v>
      </c>
      <c r="M4">
        <v>2012</v>
      </c>
      <c r="N4">
        <v>0</v>
      </c>
      <c r="O4">
        <v>0</v>
      </c>
      <c r="P4">
        <f t="shared" ref="P4:P19" si="0">N4+O4</f>
        <v>0</v>
      </c>
      <c r="Q4">
        <v>0</v>
      </c>
      <c r="R4">
        <v>0</v>
      </c>
      <c r="S4">
        <v>0</v>
      </c>
    </row>
    <row r="5" spans="1:19" ht="14.1" customHeight="1">
      <c r="A5">
        <v>1</v>
      </c>
      <c r="B5">
        <v>2017</v>
      </c>
      <c r="C5" s="10">
        <f>('2 x KGR'!E16-'2 x KGR'!J16)*'2 x KGR'!D7+('2 x KGR'!E18-'2 x KGR'!J18)</f>
        <v>48123.03925233645</v>
      </c>
      <c r="E5" s="10"/>
      <c r="F5">
        <v>2013</v>
      </c>
      <c r="G5" s="11" t="e">
        <f>G7/3</f>
        <v>#REF!</v>
      </c>
      <c r="H5" s="11" t="e">
        <f>H7/3</f>
        <v>#REF!</v>
      </c>
      <c r="I5">
        <v>2013</v>
      </c>
      <c r="J5" s="10" t="e">
        <f t="shared" ref="J5:J19" si="1">$J$4+$J$4*VALUE(G5)/100</f>
        <v>#REF!</v>
      </c>
      <c r="K5" s="10" t="e">
        <f t="shared" ref="K5:K19" si="2">$K$4+$K$4*VALUE(H5)/100</f>
        <v>#REF!</v>
      </c>
      <c r="M5">
        <v>2013</v>
      </c>
      <c r="N5" s="10" t="e">
        <f>'2 x KGR'!$E$13*(100+$G5)/100</f>
        <v>#REF!</v>
      </c>
      <c r="O5" s="10" t="e">
        <f>'2 x KGR'!$E$14*(100+$H5)/100</f>
        <v>#REF!</v>
      </c>
      <c r="P5" s="10" t="e">
        <f t="shared" si="0"/>
        <v>#REF!</v>
      </c>
      <c r="Q5" s="10" t="e">
        <f>'2 x KGR'!$J$13*(100+$H5)/100</f>
        <v>#REF!</v>
      </c>
      <c r="R5" s="10" t="e">
        <f>(P5-Q5)*'2 x KGR'!$D$7+('2 x KGR'!$E$18-'2 x KGR'!$J$18)</f>
        <v>#REF!</v>
      </c>
      <c r="S5" s="10" t="e">
        <f t="shared" ref="S5:S19" si="3">S4+R5</f>
        <v>#REF!</v>
      </c>
    </row>
    <row r="6" spans="1:19" ht="14.1" customHeight="1">
      <c r="A6">
        <v>2</v>
      </c>
      <c r="B6">
        <v>2018</v>
      </c>
      <c r="C6" s="10">
        <f t="shared" ref="C6:C19" si="4">$C$5*A6</f>
        <v>96246.0785046729</v>
      </c>
      <c r="E6" s="10"/>
      <c r="F6">
        <v>2014</v>
      </c>
      <c r="G6" s="11" t="e">
        <f>G5*2</f>
        <v>#REF!</v>
      </c>
      <c r="H6" s="11" t="e">
        <f>H5*2</f>
        <v>#REF!</v>
      </c>
      <c r="I6">
        <v>2014</v>
      </c>
      <c r="J6" s="10" t="e">
        <f t="shared" si="1"/>
        <v>#REF!</v>
      </c>
      <c r="K6" s="10" t="e">
        <f t="shared" si="2"/>
        <v>#REF!</v>
      </c>
      <c r="M6">
        <v>2014</v>
      </c>
      <c r="N6" s="10" t="e">
        <f>'2 x KGR'!$E$13*(100+$G6)/100</f>
        <v>#REF!</v>
      </c>
      <c r="O6" s="10" t="e">
        <f>'2 x KGR'!$E$14*(100+$H6)/100</f>
        <v>#REF!</v>
      </c>
      <c r="P6" s="10" t="e">
        <f t="shared" si="0"/>
        <v>#REF!</v>
      </c>
      <c r="Q6" s="10" t="e">
        <f>'2 x KGR'!$J$13*(100+$H6)/100</f>
        <v>#REF!</v>
      </c>
      <c r="R6" s="10" t="e">
        <f>(P6-Q6)*'2 x KGR'!$D$7+('2 x KGR'!$E$18-'2 x KGR'!$J$18)</f>
        <v>#REF!</v>
      </c>
      <c r="S6" s="10" t="e">
        <f t="shared" si="3"/>
        <v>#REF!</v>
      </c>
    </row>
    <row r="7" spans="1:19" ht="14.1" customHeight="1">
      <c r="A7">
        <v>3</v>
      </c>
      <c r="B7">
        <v>2019</v>
      </c>
      <c r="C7" s="10">
        <f t="shared" si="4"/>
        <v>144369.11775700934</v>
      </c>
      <c r="E7" s="10"/>
      <c r="F7">
        <v>2015</v>
      </c>
      <c r="G7" s="11" t="e">
        <f>'2 x KGR'!#REF!</f>
        <v>#REF!</v>
      </c>
      <c r="H7" s="11" t="e">
        <f>'2 x KGR'!#REF!</f>
        <v>#REF!</v>
      </c>
      <c r="I7">
        <v>2015</v>
      </c>
      <c r="J7" s="10" t="e">
        <f t="shared" si="1"/>
        <v>#REF!</v>
      </c>
      <c r="K7" s="10" t="e">
        <f t="shared" si="2"/>
        <v>#REF!</v>
      </c>
      <c r="M7">
        <v>2015</v>
      </c>
      <c r="N7" s="10" t="e">
        <f>'2 x KGR'!$E$13*(100+$G7)/100</f>
        <v>#REF!</v>
      </c>
      <c r="O7" s="10" t="e">
        <f>'2 x KGR'!$E$14*(100+$H7)/100</f>
        <v>#REF!</v>
      </c>
      <c r="P7" s="10" t="e">
        <f t="shared" si="0"/>
        <v>#REF!</v>
      </c>
      <c r="Q7" s="10" t="e">
        <f>'2 x KGR'!$J$13*(100+$H7)/100</f>
        <v>#REF!</v>
      </c>
      <c r="R7" s="10" t="e">
        <f>(P7-Q7)*'2 x KGR'!$D$7+('2 x KGR'!$E$18-'2 x KGR'!$J$18)</f>
        <v>#REF!</v>
      </c>
      <c r="S7" s="10" t="e">
        <f t="shared" si="3"/>
        <v>#REF!</v>
      </c>
    </row>
    <row r="8" spans="1:19" ht="14.1" customHeight="1">
      <c r="A8">
        <v>4</v>
      </c>
      <c r="B8">
        <v>2020</v>
      </c>
      <c r="C8" s="10">
        <f t="shared" si="4"/>
        <v>192492.1570093458</v>
      </c>
      <c r="E8" s="10"/>
      <c r="F8">
        <v>2016</v>
      </c>
      <c r="G8" s="11" t="e">
        <f>(G12-G7)/5+G7</f>
        <v>#REF!</v>
      </c>
      <c r="H8" s="11" t="e">
        <f>(H12-H7)/5+H7</f>
        <v>#REF!</v>
      </c>
      <c r="I8">
        <v>2016</v>
      </c>
      <c r="J8" s="10" t="e">
        <f t="shared" si="1"/>
        <v>#REF!</v>
      </c>
      <c r="K8" s="10" t="e">
        <f t="shared" si="2"/>
        <v>#REF!</v>
      </c>
      <c r="M8">
        <v>2016</v>
      </c>
      <c r="N8" s="10" t="e">
        <f>'2 x KGR'!$E$13*(100+$G8)/100</f>
        <v>#REF!</v>
      </c>
      <c r="O8" s="10" t="e">
        <f>'2 x KGR'!$E$14*(100+$H8)/100</f>
        <v>#REF!</v>
      </c>
      <c r="P8" s="10" t="e">
        <f t="shared" si="0"/>
        <v>#REF!</v>
      </c>
      <c r="Q8" s="10" t="e">
        <f>'2 x KGR'!$J$13*(100+$H8)/100</f>
        <v>#REF!</v>
      </c>
      <c r="R8" s="10" t="e">
        <f>(P8-Q8)*'2 x KGR'!$D$7+('2 x KGR'!$E$18-'2 x KGR'!$J$18)</f>
        <v>#REF!</v>
      </c>
      <c r="S8" s="10" t="e">
        <f t="shared" si="3"/>
        <v>#REF!</v>
      </c>
    </row>
    <row r="9" spans="1:19" ht="14.1" customHeight="1">
      <c r="A9">
        <v>5</v>
      </c>
      <c r="B9">
        <v>2021</v>
      </c>
      <c r="C9" s="10">
        <f t="shared" si="4"/>
        <v>240615.19626168226</v>
      </c>
      <c r="E9" s="10"/>
      <c r="F9">
        <v>2017</v>
      </c>
      <c r="G9" s="11" t="e">
        <f>(G12-G7)/5*2+G7</f>
        <v>#REF!</v>
      </c>
      <c r="H9" s="11" t="e">
        <f>(H12-H7)/5*2+H7</f>
        <v>#REF!</v>
      </c>
      <c r="I9">
        <v>2017</v>
      </c>
      <c r="J9" s="10" t="e">
        <f t="shared" si="1"/>
        <v>#REF!</v>
      </c>
      <c r="K9" s="10" t="e">
        <f t="shared" si="2"/>
        <v>#REF!</v>
      </c>
      <c r="M9">
        <v>2017</v>
      </c>
      <c r="N9" s="10" t="e">
        <f>'2 x KGR'!$E$13*(100+$G9)/100</f>
        <v>#REF!</v>
      </c>
      <c r="O9" s="10" t="e">
        <f>'2 x KGR'!$E$14*(100+$H9)/100</f>
        <v>#REF!</v>
      </c>
      <c r="P9" s="10" t="e">
        <f t="shared" si="0"/>
        <v>#REF!</v>
      </c>
      <c r="Q9" s="10" t="e">
        <f>'2 x KGR'!$J$13*(100+$H9)/100</f>
        <v>#REF!</v>
      </c>
      <c r="R9" s="10" t="e">
        <f>(P9-Q9)*'2 x KGR'!$D$7+('2 x KGR'!$E$18-'2 x KGR'!$J$18)</f>
        <v>#REF!</v>
      </c>
      <c r="S9" s="10" t="e">
        <f t="shared" si="3"/>
        <v>#REF!</v>
      </c>
    </row>
    <row r="10" spans="1:19" ht="14.1" customHeight="1">
      <c r="A10">
        <v>6</v>
      </c>
      <c r="B10">
        <v>2022</v>
      </c>
      <c r="C10" s="10">
        <f t="shared" si="4"/>
        <v>288738.23551401868</v>
      </c>
      <c r="E10" s="10"/>
      <c r="F10">
        <v>2018</v>
      </c>
      <c r="G10" s="11" t="e">
        <f>(G12-G7)/5*3+G7</f>
        <v>#REF!</v>
      </c>
      <c r="H10" s="11" t="e">
        <f>(H12-H7)/5*3+H7</f>
        <v>#REF!</v>
      </c>
      <c r="I10">
        <v>2018</v>
      </c>
      <c r="J10" s="10" t="e">
        <f t="shared" si="1"/>
        <v>#REF!</v>
      </c>
      <c r="K10" s="10" t="e">
        <f t="shared" si="2"/>
        <v>#REF!</v>
      </c>
      <c r="M10">
        <v>2018</v>
      </c>
      <c r="N10" s="10" t="e">
        <f>'2 x KGR'!$E$13*(100+$G10)/100</f>
        <v>#REF!</v>
      </c>
      <c r="O10" s="10" t="e">
        <f>'2 x KGR'!$E$14*(100+$H10)/100</f>
        <v>#REF!</v>
      </c>
      <c r="P10" s="10" t="e">
        <f t="shared" si="0"/>
        <v>#REF!</v>
      </c>
      <c r="Q10" s="10" t="e">
        <f>'2 x KGR'!$J$13*(100+$H10)/100</f>
        <v>#REF!</v>
      </c>
      <c r="R10" s="10" t="e">
        <f>(P10-Q10)*'2 x KGR'!$D$7+('2 x KGR'!$E$18-'2 x KGR'!$J$18)</f>
        <v>#REF!</v>
      </c>
      <c r="S10" s="10" t="e">
        <f t="shared" si="3"/>
        <v>#REF!</v>
      </c>
    </row>
    <row r="11" spans="1:19" ht="14.1" customHeight="1">
      <c r="A11">
        <v>7</v>
      </c>
      <c r="B11">
        <v>2023</v>
      </c>
      <c r="C11" s="10">
        <f t="shared" si="4"/>
        <v>336861.27476635517</v>
      </c>
      <c r="E11" s="10"/>
      <c r="F11">
        <v>2019</v>
      </c>
      <c r="G11" s="11" t="e">
        <f>(G12-G7)/5*4+G7</f>
        <v>#REF!</v>
      </c>
      <c r="H11" s="11" t="e">
        <f>(H12-H7)/5*4+H7</f>
        <v>#REF!</v>
      </c>
      <c r="I11">
        <v>2019</v>
      </c>
      <c r="J11" s="10" t="e">
        <f t="shared" si="1"/>
        <v>#REF!</v>
      </c>
      <c r="K11" s="10" t="e">
        <f t="shared" si="2"/>
        <v>#REF!</v>
      </c>
      <c r="M11">
        <v>2019</v>
      </c>
      <c r="N11" s="10" t="e">
        <f>'2 x KGR'!$E$13*(100+$G11)/100</f>
        <v>#REF!</v>
      </c>
      <c r="O11" s="10" t="e">
        <f>'2 x KGR'!$E$14*(100+$H11)/100</f>
        <v>#REF!</v>
      </c>
      <c r="P11" s="10" t="e">
        <f t="shared" si="0"/>
        <v>#REF!</v>
      </c>
      <c r="Q11" s="10" t="e">
        <f>'2 x KGR'!$J$13*(100+$H11)/100</f>
        <v>#REF!</v>
      </c>
      <c r="R11" s="10" t="e">
        <f>(P11-Q11)*'2 x KGR'!$D$7+('2 x KGR'!$E$18-'2 x KGR'!$J$18)</f>
        <v>#REF!</v>
      </c>
      <c r="S11" s="10" t="e">
        <f t="shared" si="3"/>
        <v>#REF!</v>
      </c>
    </row>
    <row r="12" spans="1:19" ht="14.1" customHeight="1">
      <c r="A12">
        <v>8</v>
      </c>
      <c r="B12">
        <v>2024</v>
      </c>
      <c r="C12" s="10">
        <f t="shared" si="4"/>
        <v>384984.3140186916</v>
      </c>
      <c r="E12" s="10"/>
      <c r="F12">
        <v>2020</v>
      </c>
      <c r="G12" s="11" t="e">
        <f>'2 x KGR'!#REF!</f>
        <v>#REF!</v>
      </c>
      <c r="H12" s="11" t="e">
        <f>'2 x KGR'!#REF!</f>
        <v>#REF!</v>
      </c>
      <c r="I12">
        <v>2020</v>
      </c>
      <c r="J12" s="10" t="e">
        <f t="shared" si="1"/>
        <v>#REF!</v>
      </c>
      <c r="K12" s="10" t="e">
        <f t="shared" si="2"/>
        <v>#REF!</v>
      </c>
      <c r="M12">
        <v>2020</v>
      </c>
      <c r="N12" s="10" t="e">
        <f>'2 x KGR'!$E$13*(100+$G12)/100</f>
        <v>#REF!</v>
      </c>
      <c r="O12" s="10" t="e">
        <f>'2 x KGR'!$E$14*(100+$H12)/100</f>
        <v>#REF!</v>
      </c>
      <c r="P12" s="10" t="e">
        <f t="shared" si="0"/>
        <v>#REF!</v>
      </c>
      <c r="Q12" s="10" t="e">
        <f>'2 x KGR'!$J$13*(100+$H12)/100</f>
        <v>#REF!</v>
      </c>
      <c r="R12" s="10" t="e">
        <f>(P12-Q12)*'2 x KGR'!$D$7+('2 x KGR'!$E$18-'2 x KGR'!$J$18)</f>
        <v>#REF!</v>
      </c>
      <c r="S12" s="10" t="e">
        <f t="shared" si="3"/>
        <v>#REF!</v>
      </c>
    </row>
    <row r="13" spans="1:19" ht="14.1" customHeight="1">
      <c r="A13">
        <v>9</v>
      </c>
      <c r="B13">
        <v>2025</v>
      </c>
      <c r="C13" s="10">
        <f t="shared" si="4"/>
        <v>433107.35327102803</v>
      </c>
      <c r="E13" s="10"/>
      <c r="F13">
        <v>2021</v>
      </c>
      <c r="G13" s="11" t="e">
        <f>(G$19-G$12)/7+G$12</f>
        <v>#REF!</v>
      </c>
      <c r="H13" s="11" t="e">
        <f>(H$19-H$12)/7+H$12</f>
        <v>#REF!</v>
      </c>
      <c r="I13">
        <v>2021</v>
      </c>
      <c r="J13" s="10" t="e">
        <f t="shared" si="1"/>
        <v>#REF!</v>
      </c>
      <c r="K13" s="10" t="e">
        <f t="shared" si="2"/>
        <v>#REF!</v>
      </c>
      <c r="M13">
        <v>2021</v>
      </c>
      <c r="N13" s="10" t="e">
        <f>'2 x KGR'!$E$13*(100+$G13)/100</f>
        <v>#REF!</v>
      </c>
      <c r="O13" s="10" t="e">
        <f>'2 x KGR'!$E$14*(100+$H13)/100</f>
        <v>#REF!</v>
      </c>
      <c r="P13" s="10" t="e">
        <f t="shared" si="0"/>
        <v>#REF!</v>
      </c>
      <c r="Q13" s="10" t="e">
        <f>'2 x KGR'!$J$13*(100+$H13)/100</f>
        <v>#REF!</v>
      </c>
      <c r="R13" s="10" t="e">
        <f>(P13-Q13)*'2 x KGR'!$D$7+('2 x KGR'!$E$18-'2 x KGR'!$J$18)</f>
        <v>#REF!</v>
      </c>
      <c r="S13" s="10" t="e">
        <f t="shared" si="3"/>
        <v>#REF!</v>
      </c>
    </row>
    <row r="14" spans="1:19" ht="14.1" customHeight="1">
      <c r="A14">
        <v>10</v>
      </c>
      <c r="B14">
        <v>2026</v>
      </c>
      <c r="C14" s="10">
        <f t="shared" si="4"/>
        <v>481230.39252336451</v>
      </c>
      <c r="E14" s="10"/>
      <c r="F14">
        <v>2022</v>
      </c>
      <c r="G14" s="11" t="e">
        <f>(G$19-G$12)/7*2+G$12</f>
        <v>#REF!</v>
      </c>
      <c r="H14" s="11" t="e">
        <f>(H$19-H$12)/7*2+H$12</f>
        <v>#REF!</v>
      </c>
      <c r="I14">
        <v>2022</v>
      </c>
      <c r="J14" s="10" t="e">
        <f t="shared" si="1"/>
        <v>#REF!</v>
      </c>
      <c r="K14" s="10" t="e">
        <f t="shared" si="2"/>
        <v>#REF!</v>
      </c>
      <c r="M14">
        <v>2022</v>
      </c>
      <c r="N14" s="10" t="e">
        <f>'2 x KGR'!$E$13*(100+$G14)/100</f>
        <v>#REF!</v>
      </c>
      <c r="O14" s="10" t="e">
        <f>'2 x KGR'!$E$14*(100+$H14)/100</f>
        <v>#REF!</v>
      </c>
      <c r="P14" s="10" t="e">
        <f t="shared" si="0"/>
        <v>#REF!</v>
      </c>
      <c r="Q14" s="10" t="e">
        <f>'2 x KGR'!$J$13*(100+$H14)/100</f>
        <v>#REF!</v>
      </c>
      <c r="R14" s="10" t="e">
        <f>(P14-Q14)*'2 x KGR'!$D$7+('2 x KGR'!$E$18-'2 x KGR'!$J$18)</f>
        <v>#REF!</v>
      </c>
      <c r="S14" s="10" t="e">
        <f t="shared" si="3"/>
        <v>#REF!</v>
      </c>
    </row>
    <row r="15" spans="1:19" ht="14.1" customHeight="1">
      <c r="A15">
        <v>11</v>
      </c>
      <c r="B15">
        <v>2027</v>
      </c>
      <c r="C15" s="10">
        <f t="shared" si="4"/>
        <v>529353.431775701</v>
      </c>
      <c r="E15" s="10"/>
      <c r="F15">
        <v>2023</v>
      </c>
      <c r="G15" s="11" t="e">
        <f>(G$19-G$12)/7*3+G$12</f>
        <v>#REF!</v>
      </c>
      <c r="H15" s="11" t="e">
        <f>(H$19-H$12)/7*3+H$12</f>
        <v>#REF!</v>
      </c>
      <c r="I15">
        <v>2023</v>
      </c>
      <c r="J15" s="10" t="e">
        <f t="shared" si="1"/>
        <v>#REF!</v>
      </c>
      <c r="K15" s="10" t="e">
        <f t="shared" si="2"/>
        <v>#REF!</v>
      </c>
      <c r="M15">
        <v>2023</v>
      </c>
      <c r="N15" s="10" t="e">
        <f>'2 x KGR'!$E$13*(100+$G15)/100</f>
        <v>#REF!</v>
      </c>
      <c r="O15" s="10" t="e">
        <f>'2 x KGR'!$E$14*(100+$H15)/100</f>
        <v>#REF!</v>
      </c>
      <c r="P15" s="10" t="e">
        <f t="shared" si="0"/>
        <v>#REF!</v>
      </c>
      <c r="Q15" s="10" t="e">
        <f>'2 x KGR'!$J$13*(100+$H15)/100</f>
        <v>#REF!</v>
      </c>
      <c r="R15" s="10" t="e">
        <f>(P15-Q15)*'2 x KGR'!$D$7+('2 x KGR'!$E$18-'2 x KGR'!$J$18)</f>
        <v>#REF!</v>
      </c>
      <c r="S15" s="10" t="e">
        <f t="shared" si="3"/>
        <v>#REF!</v>
      </c>
    </row>
    <row r="16" spans="1:19" ht="14.1" customHeight="1">
      <c r="A16">
        <v>12</v>
      </c>
      <c r="B16">
        <v>2028</v>
      </c>
      <c r="C16" s="10">
        <f t="shared" si="4"/>
        <v>577476.47102803737</v>
      </c>
      <c r="E16" s="10"/>
      <c r="F16">
        <v>2024</v>
      </c>
      <c r="G16" s="11" t="e">
        <f>(G$19-G$12)/7*4+G$12</f>
        <v>#REF!</v>
      </c>
      <c r="H16" s="11" t="e">
        <f>(H$19-H$12)/7*4+H$12</f>
        <v>#REF!</v>
      </c>
      <c r="I16">
        <v>2024</v>
      </c>
      <c r="J16" s="10" t="e">
        <f t="shared" si="1"/>
        <v>#REF!</v>
      </c>
      <c r="K16" s="10" t="e">
        <f t="shared" si="2"/>
        <v>#REF!</v>
      </c>
      <c r="M16">
        <v>2024</v>
      </c>
      <c r="N16" s="10" t="e">
        <f>'2 x KGR'!$E$13*(100+$G16)/100</f>
        <v>#REF!</v>
      </c>
      <c r="O16" s="10" t="e">
        <f>'2 x KGR'!$E$14*(100+$H16)/100</f>
        <v>#REF!</v>
      </c>
      <c r="P16" s="10" t="e">
        <f t="shared" si="0"/>
        <v>#REF!</v>
      </c>
      <c r="Q16" s="10" t="e">
        <f>'2 x KGR'!$J$13*(100+$H16)/100</f>
        <v>#REF!</v>
      </c>
      <c r="R16" s="10" t="e">
        <f>(P16-Q16)*'2 x KGR'!$D$7+('2 x KGR'!$E$18-'2 x KGR'!$J$18)</f>
        <v>#REF!</v>
      </c>
      <c r="S16" s="10" t="e">
        <f t="shared" si="3"/>
        <v>#REF!</v>
      </c>
    </row>
    <row r="17" spans="1:19" ht="14.1" customHeight="1">
      <c r="A17">
        <v>13</v>
      </c>
      <c r="B17">
        <v>2029</v>
      </c>
      <c r="C17" s="10">
        <f t="shared" si="4"/>
        <v>625599.51028037386</v>
      </c>
      <c r="E17" s="10"/>
      <c r="F17">
        <v>2025</v>
      </c>
      <c r="G17" s="11" t="e">
        <f>(G$19-G$12)/7*5+G$12</f>
        <v>#REF!</v>
      </c>
      <c r="H17" s="11" t="e">
        <f>(H$19-H$12)/7*5+H$12</f>
        <v>#REF!</v>
      </c>
      <c r="I17">
        <v>2025</v>
      </c>
      <c r="J17" s="10" t="e">
        <f t="shared" si="1"/>
        <v>#REF!</v>
      </c>
      <c r="K17" s="10" t="e">
        <f t="shared" si="2"/>
        <v>#REF!</v>
      </c>
      <c r="M17">
        <v>2025</v>
      </c>
      <c r="N17" s="10" t="e">
        <f>'2 x KGR'!$E$13*(100+$G17)/100</f>
        <v>#REF!</v>
      </c>
      <c r="O17" s="10" t="e">
        <f>'2 x KGR'!$E$14*(100+$H17)/100</f>
        <v>#REF!</v>
      </c>
      <c r="P17" s="10" t="e">
        <f t="shared" si="0"/>
        <v>#REF!</v>
      </c>
      <c r="Q17" s="10" t="e">
        <f>'2 x KGR'!$J$13*(100+$H17)/100</f>
        <v>#REF!</v>
      </c>
      <c r="R17" s="10" t="e">
        <f>(P17-Q17)*'2 x KGR'!$D$7+('2 x KGR'!$E$18-'2 x KGR'!$J$18)</f>
        <v>#REF!</v>
      </c>
      <c r="S17" s="10" t="e">
        <f t="shared" si="3"/>
        <v>#REF!</v>
      </c>
    </row>
    <row r="18" spans="1:19" ht="14.1" customHeight="1">
      <c r="A18">
        <v>14</v>
      </c>
      <c r="B18">
        <v>2030</v>
      </c>
      <c r="C18" s="10">
        <f t="shared" si="4"/>
        <v>673722.54953271034</v>
      </c>
      <c r="E18" s="10"/>
      <c r="F18">
        <v>2026</v>
      </c>
      <c r="G18" s="11" t="e">
        <f>(G$19-G$12)/7*6+G$12</f>
        <v>#REF!</v>
      </c>
      <c r="H18" s="11" t="e">
        <f>(H$19-H$12)/7*6+H$12</f>
        <v>#REF!</v>
      </c>
      <c r="I18">
        <v>2026</v>
      </c>
      <c r="J18" s="10" t="e">
        <f t="shared" si="1"/>
        <v>#REF!</v>
      </c>
      <c r="K18" s="10" t="e">
        <f t="shared" si="2"/>
        <v>#REF!</v>
      </c>
      <c r="M18">
        <v>2026</v>
      </c>
      <c r="N18" s="10" t="e">
        <f>'2 x KGR'!$E$13*(100+$G18)/100</f>
        <v>#REF!</v>
      </c>
      <c r="O18" s="10" t="e">
        <f>'2 x KGR'!$E$14*(100+$H18)/100</f>
        <v>#REF!</v>
      </c>
      <c r="P18" s="10" t="e">
        <f t="shared" si="0"/>
        <v>#REF!</v>
      </c>
      <c r="Q18" s="10" t="e">
        <f>'2 x KGR'!$J$13*(100+$H18)/100</f>
        <v>#REF!</v>
      </c>
      <c r="R18" s="10" t="e">
        <f>(P18-Q18)*'2 x KGR'!$D$7+('2 x KGR'!$E$18-'2 x KGR'!$J$18)</f>
        <v>#REF!</v>
      </c>
      <c r="S18" s="10" t="e">
        <f t="shared" si="3"/>
        <v>#REF!</v>
      </c>
    </row>
    <row r="19" spans="1:19" ht="14.1" customHeight="1">
      <c r="A19">
        <v>15</v>
      </c>
      <c r="B19">
        <v>2031</v>
      </c>
      <c r="C19" s="10">
        <f t="shared" si="4"/>
        <v>721845.58878504671</v>
      </c>
      <c r="E19" s="10"/>
      <c r="F19">
        <v>2027</v>
      </c>
      <c r="G19" s="11" t="e">
        <f>G12+(G12-G7)/2</f>
        <v>#REF!</v>
      </c>
      <c r="H19" s="11" t="e">
        <f>H12+(H12-H7)/2</f>
        <v>#REF!</v>
      </c>
      <c r="I19">
        <v>2027</v>
      </c>
      <c r="J19" s="10" t="e">
        <f t="shared" si="1"/>
        <v>#REF!</v>
      </c>
      <c r="K19" s="10" t="e">
        <f t="shared" si="2"/>
        <v>#REF!</v>
      </c>
      <c r="M19">
        <v>2027</v>
      </c>
      <c r="N19" s="10" t="e">
        <f>'2 x KGR'!$E$13*(100+$G19)/100</f>
        <v>#REF!</v>
      </c>
      <c r="O19" s="10" t="e">
        <f>'2 x KGR'!$E$14*(100+$H19)/100</f>
        <v>#REF!</v>
      </c>
      <c r="P19" s="10" t="e">
        <f t="shared" si="0"/>
        <v>#REF!</v>
      </c>
      <c r="Q19" s="10" t="e">
        <f>'2 x KGR'!$J$13*(100+$H19)/100</f>
        <v>#REF!</v>
      </c>
      <c r="R19" s="10" t="e">
        <f>(P19-Q19)*'2 x KGR'!$D$7+('2 x KGR'!$E$18-'2 x KGR'!$J$18)</f>
        <v>#REF!</v>
      </c>
      <c r="S19" s="10" t="e">
        <f t="shared" si="3"/>
        <v>#REF!</v>
      </c>
    </row>
    <row r="22" spans="1:19" ht="14.1" customHeight="1">
      <c r="C22" s="10"/>
    </row>
  </sheetData>
  <sheetProtection selectLockedCells="1" selectUnlockedCells="1"/>
  <phoneticPr fontId="3" type="noConversion"/>
  <pageMargins left="0.19652777777777777" right="0.19652777777777777" top="0.65902777777777777" bottom="0.65902777777777777" header="0.39374999999999999" footer="0.39374999999999999"/>
  <pageSetup paperSize="9" scale="88" firstPageNumber="0" orientation="landscape" horizontalDpi="300" verticalDpi="300"/>
  <headerFooter alignWithMargins="0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</vt:i4>
      </vt:variant>
      <vt:variant>
        <vt:lpstr>Zakresy nazwane</vt:lpstr>
      </vt:variant>
      <vt:variant>
        <vt:i4>1</vt:i4>
      </vt:variant>
    </vt:vector>
  </HeadingPairs>
  <TitlesOfParts>
    <vt:vector size="4" baseType="lpstr">
      <vt:lpstr>2 x KGR</vt:lpstr>
      <vt:lpstr>Wykres Oszczędności 1</vt:lpstr>
      <vt:lpstr>Dane</vt:lpstr>
      <vt:lpstr>'Wykres Oszczędności 1'!Obszar_wydruku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Małgorzata</dc:creator>
  <cp:lastModifiedBy>Małgorzata</cp:lastModifiedBy>
  <dcterms:created xsi:type="dcterms:W3CDTF">2016-06-19T08:38:01Z</dcterms:created>
  <dcterms:modified xsi:type="dcterms:W3CDTF">2017-12-18T21:09:06Z</dcterms:modified>
</cp:coreProperties>
</file>